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80" yWindow="44536" windowWidth="27080" windowHeight="16800" tabRatio="599" activeTab="0"/>
  </bookViews>
  <sheets>
    <sheet name="Flujo Excel" sheetId="1" r:id="rId1"/>
  </sheets>
  <definedNames>
    <definedName name="_xlnm.Print_Area" localSheetId="0">'Flujo Excel'!$B$2:$Q$46</definedName>
  </definedNames>
  <calcPr fullCalcOnLoad="1"/>
</workbook>
</file>

<file path=xl/sharedStrings.xml><?xml version="1.0" encoding="utf-8"?>
<sst xmlns="http://schemas.openxmlformats.org/spreadsheetml/2006/main" count="49" uniqueCount="48">
  <si>
    <t>MMUS$</t>
  </si>
  <si>
    <t>Precios de la energía en contratos a 2004 =</t>
  </si>
  <si>
    <t>Costos mano de obra en 1997 =</t>
  </si>
  <si>
    <t>Valor residual =</t>
  </si>
  <si>
    <t>Incremento costo de mano de obra: 1998 a 2005 =</t>
  </si>
  <si>
    <t>Depreciación</t>
  </si>
  <si>
    <t>Otras inversiones</t>
  </si>
  <si>
    <t>Valor residual</t>
  </si>
  <si>
    <t>Flujo de caja total activos</t>
  </si>
  <si>
    <t xml:space="preserve">Flujo de caja sin valor residual </t>
  </si>
  <si>
    <t xml:space="preserve">Fuente: </t>
  </si>
  <si>
    <t>Ghemawat P. and del Sol P. “Power Across Latin America: Endesa de Chile” Harvard Business School Case, 1998</t>
  </si>
  <si>
    <t>Tasa de descuento activos (costo del capital) =</t>
  </si>
  <si>
    <t xml:space="preserve">Valor de la deuda </t>
  </si>
  <si>
    <t>Tasa de impuestos =</t>
  </si>
  <si>
    <t>anual</t>
  </si>
  <si>
    <t xml:space="preserve">Valor del patrimonio </t>
  </si>
  <si>
    <t>Valor de los activos  (VAN)</t>
  </si>
  <si>
    <t xml:space="preserve">Valor de la oferta </t>
  </si>
  <si>
    <t>(60% del patrimonio)</t>
  </si>
  <si>
    <t xml:space="preserve">Flujo de caja de la empresa (activos) - MMUS$  </t>
  </si>
  <si>
    <t>Análisis de la valoración de la compra de Edegel</t>
  </si>
  <si>
    <t>Supuestos clave</t>
  </si>
  <si>
    <t>Resultados:</t>
  </si>
  <si>
    <t>veces el flujo de fondos del año  2005</t>
  </si>
  <si>
    <t xml:space="preserve">del precio de la energía del contrato en 1998 </t>
  </si>
  <si>
    <t>de los costes laborales en 1995</t>
  </si>
  <si>
    <t>Análisis de la valoración</t>
  </si>
  <si>
    <t>Producción de energía (GWh)</t>
  </si>
  <si>
    <t>Energía vendida bajo contratos (Gwh)</t>
  </si>
  <si>
    <t>Precio de la energía vendida por contrato (mils/KWh)</t>
  </si>
  <si>
    <t>Energia vendidad en el mercado (Potencia - MW)</t>
  </si>
  <si>
    <t>Precio de la Energía/potencia en Lima (US$/KW/año)</t>
  </si>
  <si>
    <t>(Todas las cifras que vienen a continuación están están en millones de dólares)</t>
  </si>
  <si>
    <t>Ingresos por la energía de los contratos</t>
  </si>
  <si>
    <t>Ingresos por energía</t>
  </si>
  <si>
    <t>Costes Laborales</t>
  </si>
  <si>
    <t>Costes de combustibles</t>
  </si>
  <si>
    <t>Otros costes de explotación</t>
  </si>
  <si>
    <t>Ganancias de explotación</t>
  </si>
  <si>
    <t>Participación en los beneficios de los empelados (5%)</t>
  </si>
  <si>
    <t>Pago de indemnizaciones por despido</t>
  </si>
  <si>
    <t>Ingresos antes de impuestos</t>
  </si>
  <si>
    <t>Impuestos (30%)</t>
  </si>
  <si>
    <t>Beneficio neto</t>
  </si>
  <si>
    <t>Aumento del capital de explotación</t>
  </si>
  <si>
    <t>Inversión en turbina de 100 Mw.</t>
  </si>
  <si>
    <t>Beneficios netos por transmisión, mercado al contado</t>
  </si>
</sst>
</file>

<file path=xl/styles.xml><?xml version="1.0" encoding="utf-8"?>
<styleSheet xmlns="http://schemas.openxmlformats.org/spreadsheetml/2006/main">
  <numFmts count="47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Ch$&quot;#,##0_);\(&quot;Ch$&quot;#,##0\)"/>
    <numFmt numFmtId="173" formatCode="&quot;Ch$&quot;#,##0_);[Red]\(&quot;Ch$&quot;#,##0\)"/>
    <numFmt numFmtId="174" formatCode="&quot;Ch$&quot;#,##0.00_);\(&quot;Ch$&quot;#,##0.00\)"/>
    <numFmt numFmtId="175" formatCode="&quot;Ch$&quot;#,##0.00_);[Red]\(&quot;Ch$&quot;#,##0.00\)"/>
    <numFmt numFmtId="176" formatCode="_(&quot;Ch$&quot;* #,##0_);_(&quot;Ch$&quot;* \(#,##0\);_(&quot;Ch$&quot;* &quot;-&quot;_);_(@_)"/>
    <numFmt numFmtId="177" formatCode="_(&quot;Ch$&quot;* #,##0.00_);_(&quot;Ch$&quot;* \(#,##0.00\);_(&quot;Ch$&quot;* &quot;-&quot;??_);_(@_)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#,##0.0"/>
    <numFmt numFmtId="185" formatCode="#,##0.000"/>
    <numFmt numFmtId="186" formatCode="#,##0.0000"/>
    <numFmt numFmtId="187" formatCode="#,##0.00000"/>
    <numFmt numFmtId="188" formatCode="#,##0.000000"/>
    <numFmt numFmtId="189" formatCode="0.0%"/>
    <numFmt numFmtId="190" formatCode="0.0"/>
    <numFmt numFmtId="191" formatCode="_(* #,##0.0_);_(* \(#,##0.0\);_(* &quot;-&quot;??_);_(@_)"/>
    <numFmt numFmtId="192" formatCode="_(* #,##0_);_(* \(#,##0\);_(* &quot;-&quot;??_);_(@_)"/>
    <numFmt numFmtId="193" formatCode="#,##0.0_);[Red]\(#,##0.0\)"/>
    <numFmt numFmtId="194" formatCode="&quot;$&quot;#,##0.000_);[Red]\(&quot;$&quot;#,##0.000\)"/>
    <numFmt numFmtId="195" formatCode="&quot;$&quot;#,##0.0_);[Red]\(&quot;$&quot;#,##0.0\)"/>
    <numFmt numFmtId="196" formatCode="0.0_);[Red]\(0.0\)"/>
    <numFmt numFmtId="197" formatCode="&quot;$&quot;#,##0.0000_);[Red]\(&quot;$&quot;#,##0.0000\)"/>
    <numFmt numFmtId="198" formatCode="0.000000%"/>
    <numFmt numFmtId="199" formatCode="&quot;Sí&quot;;&quot;Sí&quot;;&quot;No&quot;"/>
    <numFmt numFmtId="200" formatCode="&quot;Verdadero&quot;;&quot;Verdadero&quot;;&quot;Falso&quot;"/>
    <numFmt numFmtId="201" formatCode="&quot;Activado&quot;;&quot;Activado&quot;;&quot;Desactivado&quot;"/>
    <numFmt numFmtId="202" formatCode="[$€-2]\ #,##0.00_);[Red]\([$€-2]\ #,##0.00\)"/>
  </numFmts>
  <fonts count="51">
    <font>
      <sz val="12"/>
      <name val="Times New Roman"/>
      <family val="1"/>
    </font>
    <font>
      <sz val="10"/>
      <name val="Arial"/>
      <family val="0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sz val="12"/>
      <color indexed="8"/>
      <name val="Times New Roman"/>
      <family val="1"/>
    </font>
    <font>
      <b/>
      <sz val="12"/>
      <color indexed="12"/>
      <name val="Times New Roman"/>
      <family val="1"/>
    </font>
    <font>
      <b/>
      <u val="single"/>
      <sz val="12"/>
      <name val="Times New Roman"/>
      <family val="1"/>
    </font>
    <font>
      <u val="single"/>
      <sz val="12"/>
      <name val="Times New Roman"/>
      <family val="1"/>
    </font>
    <font>
      <b/>
      <sz val="12"/>
      <color indexed="11"/>
      <name val="Times New Roman"/>
      <family val="1"/>
    </font>
    <font>
      <sz val="12"/>
      <color indexed="11"/>
      <name val="Times New Roman"/>
      <family val="1"/>
    </font>
    <font>
      <sz val="12"/>
      <color indexed="12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i/>
      <sz val="12"/>
      <name val="Times New Roman"/>
      <family val="1"/>
    </font>
    <font>
      <b/>
      <sz val="14"/>
      <color indexed="1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i/>
      <sz val="12"/>
      <color rgb="FF7F7F7F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0" borderId="1" applyNumberFormat="0" applyAlignment="0" applyProtection="0"/>
    <xf numFmtId="0" fontId="38" fillId="21" borderId="2" applyNumberFormat="0" applyAlignment="0" applyProtection="0"/>
    <xf numFmtId="0" fontId="39" fillId="0" borderId="3" applyNumberFormat="0" applyFill="0" applyAlignment="0" applyProtection="0"/>
    <xf numFmtId="0" fontId="40" fillId="22" borderId="0" applyNumberFormat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4" fillId="29" borderId="1" applyNumberFormat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9" fontId="1" fillId="0" borderId="0" applyFont="0" applyFill="0" applyBorder="0" applyAlignment="0" applyProtection="0"/>
    <xf numFmtId="0" fontId="48" fillId="20" borderId="8" applyNumberFormat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</cellStyleXfs>
  <cellXfs count="10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2" fontId="5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2" fontId="9" fillId="0" borderId="0" xfId="0" applyNumberFormat="1" applyFont="1" applyAlignment="1">
      <alignment/>
    </xf>
    <xf numFmtId="0" fontId="12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14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2" fontId="10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11" xfId="0" applyFont="1" applyBorder="1" applyAlignment="1">
      <alignment horizontal="left"/>
    </xf>
    <xf numFmtId="0" fontId="7" fillId="0" borderId="12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1" xfId="0" applyFont="1" applyBorder="1" applyAlignment="1">
      <alignment/>
    </xf>
    <xf numFmtId="0" fontId="9" fillId="0" borderId="12" xfId="0" applyFont="1" applyBorder="1" applyAlignment="1">
      <alignment/>
    </xf>
    <xf numFmtId="0" fontId="8" fillId="0" borderId="0" xfId="0" applyFont="1" applyBorder="1" applyAlignment="1">
      <alignment/>
    </xf>
    <xf numFmtId="2" fontId="5" fillId="0" borderId="13" xfId="0" applyNumberFormat="1" applyFont="1" applyBorder="1" applyAlignment="1">
      <alignment/>
    </xf>
    <xf numFmtId="2" fontId="2" fillId="0" borderId="13" xfId="0" applyNumberFormat="1" applyFont="1" applyBorder="1" applyAlignment="1">
      <alignment/>
    </xf>
    <xf numFmtId="0" fontId="4" fillId="0" borderId="13" xfId="0" applyFont="1" applyBorder="1" applyAlignment="1">
      <alignment/>
    </xf>
    <xf numFmtId="0" fontId="2" fillId="0" borderId="13" xfId="0" applyFont="1" applyBorder="1" applyAlignment="1">
      <alignment horizontal="left"/>
    </xf>
    <xf numFmtId="0" fontId="0" fillId="0" borderId="14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/>
    </xf>
    <xf numFmtId="2" fontId="5" fillId="0" borderId="0" xfId="0" applyNumberFormat="1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7" xfId="0" applyFont="1" applyBorder="1" applyAlignment="1">
      <alignment/>
    </xf>
    <xf numFmtId="2" fontId="0" fillId="0" borderId="0" xfId="0" applyNumberFormat="1" applyFont="1" applyAlignment="1">
      <alignment/>
    </xf>
    <xf numFmtId="0" fontId="13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9" fontId="3" fillId="0" borderId="0" xfId="0" applyNumberFormat="1" applyFont="1" applyFill="1" applyBorder="1" applyAlignment="1">
      <alignment horizontal="center"/>
    </xf>
    <xf numFmtId="9" fontId="3" fillId="0" borderId="0" xfId="57" applyFont="1" applyFill="1" applyBorder="1" applyAlignment="1">
      <alignment horizontal="center"/>
    </xf>
    <xf numFmtId="9" fontId="3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18" xfId="0" applyNumberFormat="1" applyFont="1" applyBorder="1" applyAlignment="1">
      <alignment/>
    </xf>
    <xf numFmtId="10" fontId="3" fillId="0" borderId="0" xfId="0" applyNumberFormat="1" applyFont="1" applyFill="1" applyBorder="1" applyAlignment="1">
      <alignment horizontal="center"/>
    </xf>
    <xf numFmtId="2" fontId="2" fillId="0" borderId="0" xfId="0" applyNumberFormat="1" applyFont="1" applyBorder="1" applyAlignment="1">
      <alignment/>
    </xf>
    <xf numFmtId="0" fontId="3" fillId="0" borderId="0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1" fontId="0" fillId="0" borderId="11" xfId="0" applyNumberFormat="1" applyFont="1" applyBorder="1" applyAlignment="1">
      <alignment/>
    </xf>
    <xf numFmtId="1" fontId="0" fillId="0" borderId="0" xfId="0" applyNumberFormat="1" applyFont="1" applyAlignment="1">
      <alignment/>
    </xf>
    <xf numFmtId="0" fontId="15" fillId="0" borderId="0" xfId="0" applyFont="1" applyBorder="1" applyAlignment="1">
      <alignment/>
    </xf>
    <xf numFmtId="1" fontId="0" fillId="0" borderId="0" xfId="0" applyNumberFormat="1" applyFont="1" applyBorder="1" applyAlignment="1">
      <alignment/>
    </xf>
    <xf numFmtId="1" fontId="0" fillId="0" borderId="11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12" xfId="0" applyFont="1" applyBorder="1" applyAlignment="1">
      <alignment/>
    </xf>
    <xf numFmtId="2" fontId="0" fillId="0" borderId="0" xfId="0" applyNumberFormat="1" applyFont="1" applyBorder="1" applyAlignment="1">
      <alignment/>
    </xf>
    <xf numFmtId="0" fontId="0" fillId="0" borderId="11" xfId="0" applyFont="1" applyBorder="1" applyAlignment="1">
      <alignment/>
    </xf>
    <xf numFmtId="2" fontId="0" fillId="0" borderId="0" xfId="51" applyNumberFormat="1" applyFont="1" applyBorder="1" applyAlignment="1">
      <alignment/>
    </xf>
    <xf numFmtId="2" fontId="0" fillId="0" borderId="0" xfId="57" applyNumberFormat="1" applyFont="1" applyBorder="1" applyAlignment="1">
      <alignment/>
    </xf>
    <xf numFmtId="2" fontId="0" fillId="0" borderId="11" xfId="0" applyNumberFormat="1" applyFont="1" applyBorder="1" applyAlignment="1">
      <alignment/>
    </xf>
    <xf numFmtId="1" fontId="0" fillId="0" borderId="18" xfId="0" applyNumberFormat="1" applyFont="1" applyBorder="1" applyAlignment="1">
      <alignment/>
    </xf>
    <xf numFmtId="1" fontId="2" fillId="0" borderId="0" xfId="0" applyNumberFormat="1" applyFont="1" applyBorder="1" applyAlignment="1">
      <alignment/>
    </xf>
    <xf numFmtId="2" fontId="0" fillId="0" borderId="0" xfId="0" applyNumberFormat="1" applyFont="1" applyFill="1" applyBorder="1" applyAlignment="1">
      <alignment/>
    </xf>
    <xf numFmtId="2" fontId="0" fillId="0" borderId="13" xfId="0" applyNumberFormat="1" applyFont="1" applyBorder="1" applyAlignment="1">
      <alignment/>
    </xf>
    <xf numFmtId="190" fontId="0" fillId="0" borderId="13" xfId="0" applyNumberFormat="1" applyFont="1" applyBorder="1" applyAlignment="1">
      <alignment/>
    </xf>
    <xf numFmtId="2" fontId="13" fillId="0" borderId="0" xfId="0" applyNumberFormat="1" applyFont="1" applyBorder="1" applyAlignment="1">
      <alignment horizontal="right"/>
    </xf>
    <xf numFmtId="167" fontId="0" fillId="0" borderId="0" xfId="0" applyNumberFormat="1" applyFont="1" applyAlignment="1">
      <alignment/>
    </xf>
    <xf numFmtId="0" fontId="16" fillId="0" borderId="0" xfId="0" applyFont="1" applyBorder="1" applyAlignment="1">
      <alignment horizontal="left"/>
    </xf>
    <xf numFmtId="0" fontId="16" fillId="0" borderId="0" xfId="0" applyFont="1" applyBorder="1" applyAlignment="1">
      <alignment/>
    </xf>
    <xf numFmtId="0" fontId="16" fillId="0" borderId="14" xfId="0" applyFont="1" applyBorder="1" applyAlignment="1">
      <alignment/>
    </xf>
    <xf numFmtId="0" fontId="13" fillId="0" borderId="10" xfId="0" applyFont="1" applyBorder="1" applyAlignment="1">
      <alignment/>
    </xf>
    <xf numFmtId="9" fontId="3" fillId="0" borderId="11" xfId="57" applyFont="1" applyBorder="1" applyAlignment="1">
      <alignment/>
    </xf>
    <xf numFmtId="0" fontId="2" fillId="0" borderId="16" xfId="0" applyFont="1" applyBorder="1" applyAlignment="1">
      <alignment/>
    </xf>
    <xf numFmtId="0" fontId="5" fillId="0" borderId="13" xfId="0" applyFont="1" applyBorder="1" applyAlignment="1">
      <alignment/>
    </xf>
    <xf numFmtId="0" fontId="0" fillId="0" borderId="13" xfId="0" applyFont="1" applyBorder="1" applyAlignment="1">
      <alignment horizontal="right"/>
    </xf>
    <xf numFmtId="9" fontId="3" fillId="0" borderId="13" xfId="0" applyNumberFormat="1" applyFont="1" applyFill="1" applyBorder="1" applyAlignment="1">
      <alignment horizontal="center"/>
    </xf>
    <xf numFmtId="0" fontId="2" fillId="0" borderId="13" xfId="0" applyFont="1" applyBorder="1" applyAlignment="1">
      <alignment/>
    </xf>
    <xf numFmtId="0" fontId="0" fillId="0" borderId="10" xfId="0" applyFont="1" applyBorder="1" applyAlignment="1">
      <alignment/>
    </xf>
    <xf numFmtId="0" fontId="12" fillId="0" borderId="12" xfId="0" applyFont="1" applyBorder="1" applyAlignment="1">
      <alignment/>
    </xf>
    <xf numFmtId="0" fontId="0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5" xfId="0" applyFont="1" applyBorder="1" applyAlignment="1">
      <alignment horizontal="center"/>
    </xf>
    <xf numFmtId="40" fontId="2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0" fontId="0" fillId="0" borderId="19" xfId="0" applyFont="1" applyBorder="1" applyAlignment="1">
      <alignment horizontal="left"/>
    </xf>
    <xf numFmtId="0" fontId="0" fillId="0" borderId="20" xfId="0" applyFont="1" applyBorder="1" applyAlignment="1">
      <alignment/>
    </xf>
    <xf numFmtId="2" fontId="0" fillId="0" borderId="21" xfId="0" applyNumberFormat="1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xplicación" xfId="49"/>
    <cellStyle name="Incorrecto" xfId="50"/>
    <cellStyle name="Comma" xfId="51"/>
    <cellStyle name="Comma [0]" xfId="52"/>
    <cellStyle name="Currency" xfId="53"/>
    <cellStyle name="Currency [0]" xfId="54"/>
    <cellStyle name="Neutral" xfId="55"/>
    <cellStyle name="Nota" xfId="56"/>
    <cellStyle name="Percent" xfId="57"/>
    <cellStyle name="Salida" xfId="58"/>
    <cellStyle name="Título" xfId="59"/>
    <cellStyle name="Total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71"/>
  <sheetViews>
    <sheetView tabSelected="1" zoomScale="125" zoomScaleNormal="125" workbookViewId="0" topLeftCell="A1">
      <selection activeCell="G3" sqref="G3"/>
    </sheetView>
  </sheetViews>
  <sheetFormatPr defaultColWidth="10.00390625" defaultRowHeight="15.75"/>
  <cols>
    <col min="1" max="1" width="1.875" style="13" customWidth="1"/>
    <col min="2" max="2" width="4.00390625" style="13" customWidth="1"/>
    <col min="3" max="3" width="9.125" style="3" customWidth="1"/>
    <col min="4" max="4" width="20.625" style="3" customWidth="1"/>
    <col min="5" max="5" width="16.375" style="13" customWidth="1"/>
    <col min="6" max="6" width="8.50390625" style="13" customWidth="1"/>
    <col min="7" max="13" width="7.625" style="13" customWidth="1"/>
    <col min="14" max="14" width="9.125" style="13" customWidth="1"/>
    <col min="15" max="15" width="8.50390625" style="13" customWidth="1"/>
    <col min="16" max="16" width="8.125" style="13" customWidth="1"/>
    <col min="17" max="17" width="2.50390625" style="13" customWidth="1"/>
    <col min="18" max="18" width="2.875" style="13" customWidth="1"/>
    <col min="19" max="16384" width="10.00390625" style="13" customWidth="1"/>
  </cols>
  <sheetData>
    <row r="1" spans="2:4" ht="15.75" thickBot="1">
      <c r="B1" s="1"/>
      <c r="D1" s="13"/>
    </row>
    <row r="2" spans="2:17" ht="15">
      <c r="B2" s="39"/>
      <c r="C2" s="18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1"/>
    </row>
    <row r="3" spans="2:17" s="44" customFormat="1" ht="15">
      <c r="B3" s="27"/>
      <c r="C3" s="20"/>
      <c r="D3" s="19"/>
      <c r="E3" s="19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3"/>
    </row>
    <row r="4" spans="2:17" s="44" customFormat="1" ht="15.75">
      <c r="B4" s="45"/>
      <c r="C4" s="86" t="s">
        <v>21</v>
      </c>
      <c r="D4" s="19"/>
      <c r="E4" s="19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3"/>
    </row>
    <row r="5" spans="2:17" s="44" customFormat="1" ht="15.75" thickBot="1">
      <c r="B5" s="45"/>
      <c r="C5" s="52"/>
      <c r="D5" s="19"/>
      <c r="E5" s="19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3"/>
    </row>
    <row r="6" spans="2:17" ht="15.75">
      <c r="B6" s="45"/>
      <c r="C6" s="88" t="s">
        <v>22</v>
      </c>
      <c r="D6" s="89"/>
      <c r="E6" s="89"/>
      <c r="F6" s="18"/>
      <c r="G6" s="18"/>
      <c r="H6" s="18"/>
      <c r="I6" s="40"/>
      <c r="J6" s="40"/>
      <c r="K6" s="41"/>
      <c r="L6" s="88" t="s">
        <v>23</v>
      </c>
      <c r="M6" s="40"/>
      <c r="N6" s="96"/>
      <c r="O6" s="40"/>
      <c r="P6" s="100" t="s">
        <v>0</v>
      </c>
      <c r="Q6" s="28"/>
    </row>
    <row r="7" spans="2:17" ht="15.75">
      <c r="B7" s="27"/>
      <c r="C7" s="31"/>
      <c r="D7" s="7"/>
      <c r="E7" s="53" t="s">
        <v>1</v>
      </c>
      <c r="F7" s="54">
        <v>0.75</v>
      </c>
      <c r="G7" s="46" t="s">
        <v>25</v>
      </c>
      <c r="H7" s="46"/>
      <c r="I7" s="46"/>
      <c r="J7" s="46"/>
      <c r="K7" s="28"/>
      <c r="L7" s="97" t="s">
        <v>17</v>
      </c>
      <c r="M7" s="46"/>
      <c r="N7" s="7"/>
      <c r="O7" s="46"/>
      <c r="P7" s="101">
        <f>NPV(F10,G42:O42,P42+P43)+F42</f>
        <v>829.7328298417428</v>
      </c>
      <c r="Q7" s="28"/>
    </row>
    <row r="8" spans="2:17" ht="15.75" thickBot="1">
      <c r="B8" s="27"/>
      <c r="C8" s="31"/>
      <c r="D8" s="7"/>
      <c r="E8" s="53" t="s">
        <v>2</v>
      </c>
      <c r="F8" s="55">
        <v>0.32</v>
      </c>
      <c r="G8" s="46" t="s">
        <v>26</v>
      </c>
      <c r="H8" s="46"/>
      <c r="I8" s="56"/>
      <c r="J8" s="46"/>
      <c r="K8" s="90"/>
      <c r="L8" s="98" t="s">
        <v>13</v>
      </c>
      <c r="M8" s="46"/>
      <c r="N8" s="46"/>
      <c r="O8" s="46"/>
      <c r="P8" s="102">
        <v>37.4</v>
      </c>
      <c r="Q8" s="28"/>
    </row>
    <row r="9" spans="2:17" ht="15.75" thickBot="1">
      <c r="B9" s="27"/>
      <c r="C9" s="31"/>
      <c r="D9" s="46"/>
      <c r="E9" s="53" t="s">
        <v>4</v>
      </c>
      <c r="F9" s="54">
        <v>0.01</v>
      </c>
      <c r="G9" s="46" t="s">
        <v>15</v>
      </c>
      <c r="H9" s="46"/>
      <c r="I9" s="46"/>
      <c r="J9" s="46"/>
      <c r="K9" s="28"/>
      <c r="L9" s="104" t="s">
        <v>16</v>
      </c>
      <c r="M9" s="105"/>
      <c r="N9" s="105"/>
      <c r="O9" s="105"/>
      <c r="P9" s="106">
        <f>P7-P8</f>
        <v>792.3328298417429</v>
      </c>
      <c r="Q9" s="28"/>
    </row>
    <row r="10" spans="2:17" ht="15">
      <c r="B10" s="27"/>
      <c r="C10" s="31"/>
      <c r="D10" s="7"/>
      <c r="E10" s="53" t="s">
        <v>12</v>
      </c>
      <c r="F10" s="59">
        <v>0.1052</v>
      </c>
      <c r="G10" s="46"/>
      <c r="H10" s="46"/>
      <c r="I10" s="46"/>
      <c r="J10" s="46"/>
      <c r="K10" s="28"/>
      <c r="L10" s="99" t="s">
        <v>18</v>
      </c>
      <c r="M10" s="46"/>
      <c r="N10" s="46"/>
      <c r="O10" s="46"/>
      <c r="P10" s="103">
        <f>P9*0.6</f>
        <v>475.3996979050457</v>
      </c>
      <c r="Q10" s="28"/>
    </row>
    <row r="11" spans="2:17" ht="15">
      <c r="B11" s="27"/>
      <c r="C11" s="31"/>
      <c r="D11" s="7"/>
      <c r="E11" s="53" t="s">
        <v>3</v>
      </c>
      <c r="F11" s="61">
        <v>10</v>
      </c>
      <c r="G11" s="46" t="s">
        <v>24</v>
      </c>
      <c r="H11" s="46"/>
      <c r="I11" s="46"/>
      <c r="J11" s="46"/>
      <c r="K11" s="28"/>
      <c r="L11" s="27" t="s">
        <v>19</v>
      </c>
      <c r="M11" s="46"/>
      <c r="N11" s="21"/>
      <c r="O11" s="22"/>
      <c r="P11" s="28"/>
      <c r="Q11" s="28"/>
    </row>
    <row r="12" spans="2:17" ht="15.75" thickBot="1">
      <c r="B12" s="27"/>
      <c r="C12" s="91"/>
      <c r="D12" s="92"/>
      <c r="E12" s="93" t="s">
        <v>14</v>
      </c>
      <c r="F12" s="94">
        <v>0.3</v>
      </c>
      <c r="G12" s="35"/>
      <c r="H12" s="95"/>
      <c r="I12" s="49"/>
      <c r="J12" s="49"/>
      <c r="K12" s="50"/>
      <c r="L12" s="48"/>
      <c r="M12" s="49"/>
      <c r="N12" s="49"/>
      <c r="O12" s="49"/>
      <c r="P12" s="50"/>
      <c r="Q12" s="28"/>
    </row>
    <row r="13" spans="2:17" ht="15">
      <c r="B13" s="27"/>
      <c r="C13" s="7"/>
      <c r="D13" s="62"/>
      <c r="E13" s="53"/>
      <c r="F13" s="46"/>
      <c r="G13" s="47"/>
      <c r="H13" s="7"/>
      <c r="I13" s="46"/>
      <c r="J13" s="46"/>
      <c r="K13" s="46"/>
      <c r="L13" s="46"/>
      <c r="M13" s="46"/>
      <c r="N13" s="46"/>
      <c r="O13" s="46"/>
      <c r="P13" s="46"/>
      <c r="Q13" s="28"/>
    </row>
    <row r="14" spans="2:17" ht="15">
      <c r="B14" s="27"/>
      <c r="C14" s="13"/>
      <c r="D14" s="62"/>
      <c r="E14" s="46"/>
      <c r="F14" s="63"/>
      <c r="G14" s="47"/>
      <c r="H14" s="7"/>
      <c r="I14" s="46"/>
      <c r="J14" s="46"/>
      <c r="K14" s="46"/>
      <c r="L14" s="46"/>
      <c r="M14" s="46"/>
      <c r="N14" s="46"/>
      <c r="O14" s="46"/>
      <c r="P14" s="46"/>
      <c r="Q14" s="28"/>
    </row>
    <row r="15" spans="2:18" ht="15.75">
      <c r="B15" s="27"/>
      <c r="C15" s="87" t="s">
        <v>27</v>
      </c>
      <c r="D15" s="7"/>
      <c r="E15" s="23"/>
      <c r="F15" s="23">
        <v>1995</v>
      </c>
      <c r="G15" s="23">
        <v>1996</v>
      </c>
      <c r="H15" s="23">
        <v>1997</v>
      </c>
      <c r="I15" s="23">
        <v>1998</v>
      </c>
      <c r="J15" s="23">
        <v>1999</v>
      </c>
      <c r="K15" s="23">
        <v>2000</v>
      </c>
      <c r="L15" s="23">
        <v>2001</v>
      </c>
      <c r="M15" s="23">
        <v>2002</v>
      </c>
      <c r="N15" s="23">
        <v>2003</v>
      </c>
      <c r="O15" s="23">
        <v>2004</v>
      </c>
      <c r="P15" s="23">
        <v>2005</v>
      </c>
      <c r="Q15" s="24"/>
      <c r="R15" s="5"/>
    </row>
    <row r="16" spans="2:17" s="6" customFormat="1" ht="15">
      <c r="B16" s="25"/>
      <c r="C16" s="46" t="s">
        <v>28</v>
      </c>
      <c r="D16" s="64"/>
      <c r="E16" s="64"/>
      <c r="F16" s="64"/>
      <c r="G16" s="65">
        <v>3157</v>
      </c>
      <c r="H16" s="65">
        <v>3272</v>
      </c>
      <c r="I16" s="65">
        <v>3178</v>
      </c>
      <c r="J16" s="65">
        <v>3127</v>
      </c>
      <c r="K16" s="65">
        <v>3186</v>
      </c>
      <c r="L16" s="65">
        <v>3206</v>
      </c>
      <c r="M16" s="65">
        <v>3186</v>
      </c>
      <c r="N16" s="65">
        <v>3226</v>
      </c>
      <c r="O16" s="65">
        <v>3173</v>
      </c>
      <c r="P16" s="65">
        <v>3179</v>
      </c>
      <c r="Q16" s="26"/>
    </row>
    <row r="17" spans="2:18" ht="15">
      <c r="B17" s="27"/>
      <c r="C17" s="46" t="s">
        <v>29</v>
      </c>
      <c r="D17" s="7"/>
      <c r="E17" s="66"/>
      <c r="F17" s="66"/>
      <c r="G17" s="65">
        <v>2993</v>
      </c>
      <c r="H17" s="65">
        <v>2996</v>
      </c>
      <c r="I17" s="65">
        <v>3008</v>
      </c>
      <c r="J17" s="65">
        <v>3008</v>
      </c>
      <c r="K17" s="65">
        <v>3008</v>
      </c>
      <c r="L17" s="65">
        <v>3008</v>
      </c>
      <c r="M17" s="65">
        <v>3008</v>
      </c>
      <c r="N17" s="65">
        <v>3008</v>
      </c>
      <c r="O17" s="65">
        <v>3008</v>
      </c>
      <c r="P17" s="65">
        <v>3008</v>
      </c>
      <c r="Q17" s="67"/>
      <c r="R17" s="68"/>
    </row>
    <row r="18" spans="2:18" s="46" customFormat="1" ht="15">
      <c r="B18" s="27"/>
      <c r="C18" s="46" t="s">
        <v>30</v>
      </c>
      <c r="D18" s="7"/>
      <c r="E18" s="66"/>
      <c r="F18" s="66"/>
      <c r="G18" s="57">
        <v>37.5</v>
      </c>
      <c r="H18" s="57">
        <v>37.5</v>
      </c>
      <c r="I18" s="57">
        <v>37.5</v>
      </c>
      <c r="J18" s="57">
        <f aca="true" t="shared" si="0" ref="J18:O18">$I18-(J15-$I15)*$I18*(1-$F7)/6</f>
        <v>35.9375</v>
      </c>
      <c r="K18" s="57">
        <f t="shared" si="0"/>
        <v>34.375</v>
      </c>
      <c r="L18" s="57">
        <f t="shared" si="0"/>
        <v>32.8125</v>
      </c>
      <c r="M18" s="57">
        <f t="shared" si="0"/>
        <v>31.25</v>
      </c>
      <c r="N18" s="57">
        <f t="shared" si="0"/>
        <v>29.6875</v>
      </c>
      <c r="O18" s="57">
        <f t="shared" si="0"/>
        <v>28.125</v>
      </c>
      <c r="P18" s="57">
        <f>O18</f>
        <v>28.125</v>
      </c>
      <c r="Q18" s="67"/>
      <c r="R18" s="66"/>
    </row>
    <row r="19" spans="2:18" s="46" customFormat="1" ht="15">
      <c r="B19" s="27"/>
      <c r="C19" s="46" t="s">
        <v>31</v>
      </c>
      <c r="D19" s="7"/>
      <c r="E19" s="66"/>
      <c r="F19" s="66"/>
      <c r="G19" s="57">
        <f>616</f>
        <v>616</v>
      </c>
      <c r="H19" s="57">
        <v>636</v>
      </c>
      <c r="I19" s="57">
        <v>664</v>
      </c>
      <c r="J19" s="57">
        <v>664</v>
      </c>
      <c r="K19" s="57">
        <v>656</v>
      </c>
      <c r="L19" s="57">
        <v>652</v>
      </c>
      <c r="M19" s="57">
        <v>652</v>
      </c>
      <c r="N19" s="57">
        <v>652</v>
      </c>
      <c r="O19" s="57">
        <v>652</v>
      </c>
      <c r="P19" s="57">
        <v>652</v>
      </c>
      <c r="Q19" s="67"/>
      <c r="R19" s="66"/>
    </row>
    <row r="20" spans="2:18" s="46" customFormat="1" ht="15">
      <c r="B20" s="27"/>
      <c r="C20" s="46" t="s">
        <v>32</v>
      </c>
      <c r="D20" s="7"/>
      <c r="E20" s="66"/>
      <c r="F20" s="66"/>
      <c r="G20" s="57">
        <v>67.59</v>
      </c>
      <c r="H20" s="57">
        <v>67.59</v>
      </c>
      <c r="I20" s="57">
        <v>67.59</v>
      </c>
      <c r="J20" s="57">
        <v>67.59</v>
      </c>
      <c r="K20" s="57">
        <v>67.59</v>
      </c>
      <c r="L20" s="57">
        <v>67.59</v>
      </c>
      <c r="M20" s="57">
        <v>67.59</v>
      </c>
      <c r="N20" s="57">
        <v>67.59</v>
      </c>
      <c r="O20" s="57">
        <v>67.59</v>
      </c>
      <c r="P20" s="57">
        <v>67.59</v>
      </c>
      <c r="Q20" s="67"/>
      <c r="R20" s="66"/>
    </row>
    <row r="21" spans="2:18" s="46" customFormat="1" ht="15">
      <c r="B21" s="27"/>
      <c r="D21" s="7"/>
      <c r="E21" s="66"/>
      <c r="F21" s="66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67"/>
      <c r="R21" s="66"/>
    </row>
    <row r="22" spans="2:18" s="46" customFormat="1" ht="15.75">
      <c r="B22" s="27"/>
      <c r="C22" s="87" t="s">
        <v>20</v>
      </c>
      <c r="D22" s="7"/>
      <c r="E22" s="66"/>
      <c r="F22" s="66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67"/>
      <c r="R22" s="66"/>
    </row>
    <row r="23" spans="2:18" s="72" customFormat="1" ht="15">
      <c r="B23" s="27"/>
      <c r="C23" s="2" t="s">
        <v>33</v>
      </c>
      <c r="D23" s="69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1"/>
      <c r="R23" s="70"/>
    </row>
    <row r="24" spans="2:17" s="72" customFormat="1" ht="15">
      <c r="B24" s="73"/>
      <c r="C24" s="72" t="s">
        <v>34</v>
      </c>
      <c r="E24" s="70"/>
      <c r="F24" s="70"/>
      <c r="G24" s="74">
        <f>G17*G18/1000</f>
        <v>112.2375</v>
      </c>
      <c r="H24" s="74">
        <f aca="true" t="shared" si="1" ref="H24:M24">H17*H18/1000</f>
        <v>112.35</v>
      </c>
      <c r="I24" s="74">
        <f t="shared" si="1"/>
        <v>112.8</v>
      </c>
      <c r="J24" s="74">
        <f t="shared" si="1"/>
        <v>108.1</v>
      </c>
      <c r="K24" s="74">
        <f>K17*K18/1000</f>
        <v>103.4</v>
      </c>
      <c r="L24" s="74">
        <f t="shared" si="1"/>
        <v>98.7</v>
      </c>
      <c r="M24" s="74">
        <f t="shared" si="1"/>
        <v>94</v>
      </c>
      <c r="N24" s="74">
        <f>N17*N18/1000</f>
        <v>89.3</v>
      </c>
      <c r="O24" s="74">
        <f>O17*O18/1000</f>
        <v>84.6</v>
      </c>
      <c r="P24" s="74">
        <f>P17*P18/1000</f>
        <v>84.6</v>
      </c>
      <c r="Q24" s="75"/>
    </row>
    <row r="25" spans="2:17" s="72" customFormat="1" ht="15">
      <c r="B25" s="73"/>
      <c r="C25" s="72" t="s">
        <v>35</v>
      </c>
      <c r="E25" s="70"/>
      <c r="F25" s="70"/>
      <c r="G25" s="74">
        <f>G19*G20/1000</f>
        <v>41.63544</v>
      </c>
      <c r="H25" s="74">
        <f aca="true" t="shared" si="2" ref="H25:P25">H19*H20/1000</f>
        <v>42.98724000000001</v>
      </c>
      <c r="I25" s="74">
        <f t="shared" si="2"/>
        <v>44.879760000000005</v>
      </c>
      <c r="J25" s="74">
        <f t="shared" si="2"/>
        <v>44.879760000000005</v>
      </c>
      <c r="K25" s="74">
        <f t="shared" si="2"/>
        <v>44.339040000000004</v>
      </c>
      <c r="L25" s="74">
        <f t="shared" si="2"/>
        <v>44.06868</v>
      </c>
      <c r="M25" s="74">
        <f t="shared" si="2"/>
        <v>44.06868</v>
      </c>
      <c r="N25" s="74">
        <f t="shared" si="2"/>
        <v>44.06868</v>
      </c>
      <c r="O25" s="74">
        <f t="shared" si="2"/>
        <v>44.06868</v>
      </c>
      <c r="P25" s="74">
        <f t="shared" si="2"/>
        <v>44.06868</v>
      </c>
      <c r="Q25" s="75"/>
    </row>
    <row r="26" spans="2:17" s="72" customFormat="1" ht="15">
      <c r="B26" s="73"/>
      <c r="C26" s="72" t="s">
        <v>47</v>
      </c>
      <c r="E26" s="70"/>
      <c r="F26" s="70"/>
      <c r="G26" s="74">
        <f>8.42</f>
        <v>8.42</v>
      </c>
      <c r="H26" s="74">
        <f>13.22</f>
        <v>13.22</v>
      </c>
      <c r="I26" s="74">
        <f>7.62</f>
        <v>7.62</v>
      </c>
      <c r="J26" s="74">
        <f>6.72</f>
        <v>6.72</v>
      </c>
      <c r="K26" s="74">
        <f>10.52</f>
        <v>10.52</v>
      </c>
      <c r="L26" s="74">
        <f>11.02</f>
        <v>11.02</v>
      </c>
      <c r="M26" s="74">
        <f>10.52</f>
        <v>10.52</v>
      </c>
      <c r="N26" s="74">
        <v>14.62</v>
      </c>
      <c r="O26" s="74">
        <v>12.32</v>
      </c>
      <c r="P26" s="74">
        <v>12.72</v>
      </c>
      <c r="Q26" s="75"/>
    </row>
    <row r="27" spans="2:17" s="72" customFormat="1" ht="15.75" customHeight="1">
      <c r="B27" s="73"/>
      <c r="C27" s="72" t="s">
        <v>36</v>
      </c>
      <c r="E27" s="70"/>
      <c r="F27" s="74">
        <v>18.745</v>
      </c>
      <c r="G27" s="74">
        <f>(F27+H27)/2</f>
        <v>12.3717</v>
      </c>
      <c r="H27" s="74">
        <f>F27*F8</f>
        <v>5.9984</v>
      </c>
      <c r="I27" s="74">
        <f aca="true" t="shared" si="3" ref="I27:P27">H27*(1+$F9)</f>
        <v>6.058384</v>
      </c>
      <c r="J27" s="74">
        <f t="shared" si="3"/>
        <v>6.118967840000001</v>
      </c>
      <c r="K27" s="74">
        <f t="shared" si="3"/>
        <v>6.180157518400001</v>
      </c>
      <c r="L27" s="74">
        <f t="shared" si="3"/>
        <v>6.241959093584001</v>
      </c>
      <c r="M27" s="74">
        <f t="shared" si="3"/>
        <v>6.304378684519841</v>
      </c>
      <c r="N27" s="74">
        <f t="shared" si="3"/>
        <v>6.367422471365039</v>
      </c>
      <c r="O27" s="74">
        <f t="shared" si="3"/>
        <v>6.431096696078689</v>
      </c>
      <c r="P27" s="74">
        <f t="shared" si="3"/>
        <v>6.495407663039476</v>
      </c>
      <c r="Q27" s="75"/>
    </row>
    <row r="28" spans="2:18" s="72" customFormat="1" ht="14.25" customHeight="1">
      <c r="B28" s="73"/>
      <c r="C28" s="72" t="s">
        <v>37</v>
      </c>
      <c r="E28" s="70"/>
      <c r="F28" s="70"/>
      <c r="G28" s="76">
        <v>8.9</v>
      </c>
      <c r="H28" s="77">
        <v>14.5</v>
      </c>
      <c r="I28" s="77">
        <v>8.8</v>
      </c>
      <c r="J28" s="77">
        <v>5.8</v>
      </c>
      <c r="K28" s="77">
        <v>9.2</v>
      </c>
      <c r="L28" s="77">
        <v>10.3</v>
      </c>
      <c r="M28" s="77">
        <v>9.2</v>
      </c>
      <c r="N28" s="77">
        <v>11.8</v>
      </c>
      <c r="O28" s="77">
        <v>8.5</v>
      </c>
      <c r="P28" s="77">
        <v>8.9</v>
      </c>
      <c r="Q28" s="78"/>
      <c r="R28" s="74"/>
    </row>
    <row r="29" spans="2:17" s="46" customFormat="1" ht="15">
      <c r="B29" s="73"/>
      <c r="C29" s="2" t="s">
        <v>5</v>
      </c>
      <c r="E29" s="66"/>
      <c r="F29" s="66"/>
      <c r="G29" s="57">
        <v>13.52</v>
      </c>
      <c r="H29" s="57">
        <v>14.31</v>
      </c>
      <c r="I29" s="57">
        <v>14.3</v>
      </c>
      <c r="J29" s="57">
        <v>14.31</v>
      </c>
      <c r="K29" s="57">
        <v>14.32</v>
      </c>
      <c r="L29" s="57">
        <v>14.32</v>
      </c>
      <c r="M29" s="57">
        <v>14.32</v>
      </c>
      <c r="N29" s="57">
        <v>13.06</v>
      </c>
      <c r="O29" s="57">
        <v>7.05</v>
      </c>
      <c r="P29" s="57">
        <v>7.06</v>
      </c>
      <c r="Q29" s="28"/>
    </row>
    <row r="30" spans="2:17" s="46" customFormat="1" ht="15">
      <c r="B30" s="27"/>
      <c r="C30" s="46" t="s">
        <v>38</v>
      </c>
      <c r="E30" s="66"/>
      <c r="F30" s="66"/>
      <c r="G30" s="57">
        <f>8.38+2.09</f>
        <v>10.47</v>
      </c>
      <c r="H30" s="57">
        <v>10.5</v>
      </c>
      <c r="I30" s="57">
        <v>7.19</v>
      </c>
      <c r="J30" s="57">
        <v>7.11</v>
      </c>
      <c r="K30" s="57">
        <v>7.07</v>
      </c>
      <c r="L30" s="57">
        <v>6.93</v>
      </c>
      <c r="M30" s="57">
        <v>6.76</v>
      </c>
      <c r="N30" s="57">
        <v>6.75</v>
      </c>
      <c r="O30" s="57">
        <v>6.66</v>
      </c>
      <c r="P30" s="57">
        <v>6.66</v>
      </c>
      <c r="Q30" s="28"/>
    </row>
    <row r="31" spans="2:17" s="46" customFormat="1" ht="15">
      <c r="B31" s="27"/>
      <c r="C31" s="46" t="s">
        <v>39</v>
      </c>
      <c r="E31" s="66"/>
      <c r="F31" s="66"/>
      <c r="G31" s="57">
        <f aca="true" t="shared" si="4" ref="G31:P31">G24+G25+G26-G27-G28-G29-G30</f>
        <v>117.03123999999998</v>
      </c>
      <c r="H31" s="57">
        <f t="shared" si="4"/>
        <v>123.24884</v>
      </c>
      <c r="I31" s="57">
        <f t="shared" si="4"/>
        <v>128.95137599999998</v>
      </c>
      <c r="J31" s="57">
        <f t="shared" si="4"/>
        <v>126.36079215999997</v>
      </c>
      <c r="K31" s="57">
        <f t="shared" si="4"/>
        <v>121.48888248160006</v>
      </c>
      <c r="L31" s="57">
        <f t="shared" si="4"/>
        <v>115.99672090641602</v>
      </c>
      <c r="M31" s="57">
        <f t="shared" si="4"/>
        <v>112.00430131548019</v>
      </c>
      <c r="N31" s="57">
        <f t="shared" si="4"/>
        <v>110.01125752863493</v>
      </c>
      <c r="O31" s="57">
        <f t="shared" si="4"/>
        <v>112.3475833039213</v>
      </c>
      <c r="P31" s="57">
        <f t="shared" si="4"/>
        <v>112.2732723369605</v>
      </c>
      <c r="Q31" s="28"/>
    </row>
    <row r="32" spans="2:17" s="46" customFormat="1" ht="15">
      <c r="B32" s="27"/>
      <c r="C32" s="46" t="s">
        <v>40</v>
      </c>
      <c r="E32" s="66"/>
      <c r="F32" s="66"/>
      <c r="G32" s="57">
        <f>G31*0.05</f>
        <v>5.8515619999999995</v>
      </c>
      <c r="H32" s="57">
        <f aca="true" t="shared" si="5" ref="H32:P32">H31*0.05</f>
        <v>6.162442</v>
      </c>
      <c r="I32" s="57">
        <f t="shared" si="5"/>
        <v>6.447568799999999</v>
      </c>
      <c r="J32" s="57">
        <f t="shared" si="5"/>
        <v>6.318039607999999</v>
      </c>
      <c r="K32" s="57">
        <f t="shared" si="5"/>
        <v>6.074444124080003</v>
      </c>
      <c r="L32" s="57">
        <f t="shared" si="5"/>
        <v>5.799836045320801</v>
      </c>
      <c r="M32" s="57">
        <f t="shared" si="5"/>
        <v>5.60021506577401</v>
      </c>
      <c r="N32" s="57">
        <f t="shared" si="5"/>
        <v>5.500562876431747</v>
      </c>
      <c r="O32" s="57">
        <f t="shared" si="5"/>
        <v>5.617379165196065</v>
      </c>
      <c r="P32" s="57">
        <f t="shared" si="5"/>
        <v>5.613663616848026</v>
      </c>
      <c r="Q32" s="28"/>
    </row>
    <row r="33" spans="2:17" s="46" customFormat="1" ht="15">
      <c r="B33" s="27"/>
      <c r="C33" s="46" t="s">
        <v>41</v>
      </c>
      <c r="E33" s="66"/>
      <c r="F33" s="66"/>
      <c r="G33" s="57">
        <f>(8.18/2)*(1-F8)/0.68</f>
        <v>4.089999999999999</v>
      </c>
      <c r="H33" s="57">
        <f>G33</f>
        <v>4.089999999999999</v>
      </c>
      <c r="I33" s="57"/>
      <c r="J33" s="57"/>
      <c r="K33" s="57"/>
      <c r="L33" s="57"/>
      <c r="M33" s="57"/>
      <c r="N33" s="57"/>
      <c r="O33" s="57"/>
      <c r="P33" s="57"/>
      <c r="Q33" s="28"/>
    </row>
    <row r="34" spans="2:20" s="46" customFormat="1" ht="15">
      <c r="B34" s="27"/>
      <c r="C34" s="46" t="s">
        <v>42</v>
      </c>
      <c r="E34" s="66"/>
      <c r="F34" s="66"/>
      <c r="G34" s="57">
        <f>G31-G32-G33</f>
        <v>107.08967799999998</v>
      </c>
      <c r="H34" s="57">
        <f aca="true" t="shared" si="6" ref="H34:P34">H31-H32-H33</f>
        <v>112.996398</v>
      </c>
      <c r="I34" s="57">
        <f t="shared" si="6"/>
        <v>122.50380719999998</v>
      </c>
      <c r="J34" s="57">
        <f t="shared" si="6"/>
        <v>120.04275255199997</v>
      </c>
      <c r="K34" s="57">
        <f t="shared" si="6"/>
        <v>115.41443835752005</v>
      </c>
      <c r="L34" s="57">
        <f t="shared" si="6"/>
        <v>110.19688486109521</v>
      </c>
      <c r="M34" s="57">
        <f t="shared" si="6"/>
        <v>106.40408624970618</v>
      </c>
      <c r="N34" s="57">
        <f t="shared" si="6"/>
        <v>104.51069465220318</v>
      </c>
      <c r="O34" s="57">
        <f t="shared" si="6"/>
        <v>106.73020413872523</v>
      </c>
      <c r="P34" s="57">
        <f t="shared" si="6"/>
        <v>106.65960872011247</v>
      </c>
      <c r="Q34" s="28"/>
      <c r="T34" s="57"/>
    </row>
    <row r="35" spans="2:20" s="46" customFormat="1" ht="15">
      <c r="B35" s="27"/>
      <c r="C35" s="46" t="s">
        <v>43</v>
      </c>
      <c r="E35" s="66"/>
      <c r="F35" s="79"/>
      <c r="G35" s="58">
        <f>$F$12*G34</f>
        <v>32.12690339999999</v>
      </c>
      <c r="H35" s="58">
        <f>$F$12*H34</f>
        <v>33.8989194</v>
      </c>
      <c r="I35" s="58">
        <f aca="true" t="shared" si="7" ref="I35:P35">$F$12*I34</f>
        <v>36.75114215999999</v>
      </c>
      <c r="J35" s="58">
        <f t="shared" si="7"/>
        <v>36.01282576559999</v>
      </c>
      <c r="K35" s="58">
        <f t="shared" si="7"/>
        <v>34.62433150725602</v>
      </c>
      <c r="L35" s="58">
        <f t="shared" si="7"/>
        <v>33.05906545832856</v>
      </c>
      <c r="M35" s="58">
        <f t="shared" si="7"/>
        <v>31.921225874911855</v>
      </c>
      <c r="N35" s="58">
        <f t="shared" si="7"/>
        <v>31.353208395660953</v>
      </c>
      <c r="O35" s="58">
        <f t="shared" si="7"/>
        <v>32.019061241617564</v>
      </c>
      <c r="P35" s="58">
        <f t="shared" si="7"/>
        <v>31.997882616033742</v>
      </c>
      <c r="Q35" s="28"/>
      <c r="T35" s="57"/>
    </row>
    <row r="36" spans="2:20" s="7" customFormat="1" ht="15.75">
      <c r="B36" s="31"/>
      <c r="C36" s="16" t="s">
        <v>44</v>
      </c>
      <c r="E36" s="80"/>
      <c r="F36" s="60">
        <v>25.16</v>
      </c>
      <c r="G36" s="60">
        <f>G34-G35</f>
        <v>74.96277459999999</v>
      </c>
      <c r="H36" s="60">
        <f aca="true" t="shared" si="8" ref="H36:P36">H34-H35</f>
        <v>79.0974786</v>
      </c>
      <c r="I36" s="60">
        <f t="shared" si="8"/>
        <v>85.75266503999998</v>
      </c>
      <c r="J36" s="60">
        <f t="shared" si="8"/>
        <v>84.02992678639998</v>
      </c>
      <c r="K36" s="60">
        <f t="shared" si="8"/>
        <v>80.79010685026404</v>
      </c>
      <c r="L36" s="60">
        <f t="shared" si="8"/>
        <v>77.13781940276665</v>
      </c>
      <c r="M36" s="60">
        <f t="shared" si="8"/>
        <v>74.48286037479433</v>
      </c>
      <c r="N36" s="60">
        <f t="shared" si="8"/>
        <v>73.15748625654223</v>
      </c>
      <c r="O36" s="60">
        <f t="shared" si="8"/>
        <v>74.71114289710766</v>
      </c>
      <c r="P36" s="60">
        <f t="shared" si="8"/>
        <v>74.66172610407872</v>
      </c>
      <c r="Q36" s="32"/>
      <c r="T36" s="60"/>
    </row>
    <row r="37" spans="2:17" s="46" customFormat="1" ht="8.25" customHeight="1">
      <c r="B37" s="27"/>
      <c r="E37" s="66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28"/>
    </row>
    <row r="38" spans="2:17" s="46" customFormat="1" ht="15">
      <c r="B38" s="27"/>
      <c r="C38" s="46" t="s">
        <v>5</v>
      </c>
      <c r="F38" s="46">
        <v>15.42</v>
      </c>
      <c r="G38" s="57">
        <f>G29</f>
        <v>13.52</v>
      </c>
      <c r="H38" s="57">
        <f aca="true" t="shared" si="9" ref="H38:P38">H29</f>
        <v>14.31</v>
      </c>
      <c r="I38" s="57">
        <f t="shared" si="9"/>
        <v>14.3</v>
      </c>
      <c r="J38" s="57">
        <f t="shared" si="9"/>
        <v>14.31</v>
      </c>
      <c r="K38" s="57">
        <f t="shared" si="9"/>
        <v>14.32</v>
      </c>
      <c r="L38" s="57">
        <f t="shared" si="9"/>
        <v>14.32</v>
      </c>
      <c r="M38" s="57">
        <f t="shared" si="9"/>
        <v>14.32</v>
      </c>
      <c r="N38" s="57">
        <f t="shared" si="9"/>
        <v>13.06</v>
      </c>
      <c r="O38" s="57">
        <f t="shared" si="9"/>
        <v>7.05</v>
      </c>
      <c r="P38" s="57">
        <f t="shared" si="9"/>
        <v>7.06</v>
      </c>
      <c r="Q38" s="28"/>
    </row>
    <row r="39" spans="2:17" ht="15">
      <c r="B39" s="27"/>
      <c r="C39" s="2" t="s">
        <v>45</v>
      </c>
      <c r="D39" s="46"/>
      <c r="E39" s="66"/>
      <c r="F39" s="57">
        <f>6.23+11.6</f>
        <v>17.83</v>
      </c>
      <c r="G39" s="57">
        <f>2.73</f>
        <v>2.73</v>
      </c>
      <c r="H39" s="57">
        <f>0.68</f>
        <v>0.68</v>
      </c>
      <c r="I39" s="57">
        <f>-0.23</f>
        <v>-0.23</v>
      </c>
      <c r="J39" s="57">
        <f>-0.28</f>
        <v>-0.28</v>
      </c>
      <c r="K39" s="57">
        <f>0.14</f>
        <v>0.14</v>
      </c>
      <c r="L39" s="57">
        <f>-0.45</f>
        <v>-0.45</v>
      </c>
      <c r="M39" s="57">
        <f>-1</f>
        <v>-1</v>
      </c>
      <c r="N39" s="57">
        <f>0.39</f>
        <v>0.39</v>
      </c>
      <c r="O39" s="57">
        <v>-0.7</v>
      </c>
      <c r="P39" s="57">
        <f>0.03</f>
        <v>0.03</v>
      </c>
      <c r="Q39" s="28"/>
    </row>
    <row r="40" spans="2:17" ht="15">
      <c r="B40" s="27"/>
      <c r="C40" s="46" t="s">
        <v>46</v>
      </c>
      <c r="D40" s="46"/>
      <c r="E40" s="66"/>
      <c r="F40" s="81"/>
      <c r="G40" s="81">
        <v>40</v>
      </c>
      <c r="H40" s="81"/>
      <c r="I40" s="81"/>
      <c r="J40" s="81">
        <v>0</v>
      </c>
      <c r="K40" s="81"/>
      <c r="L40" s="81"/>
      <c r="M40" s="81"/>
      <c r="N40" s="81"/>
      <c r="O40" s="81"/>
      <c r="P40" s="81"/>
      <c r="Q40" s="28"/>
    </row>
    <row r="41" spans="2:17" ht="15">
      <c r="B41" s="27"/>
      <c r="C41" s="46" t="s">
        <v>6</v>
      </c>
      <c r="D41" s="46"/>
      <c r="E41" s="66"/>
      <c r="F41" s="79"/>
      <c r="G41" s="58">
        <f>0.68</f>
        <v>0.68</v>
      </c>
      <c r="H41" s="58">
        <f>1.63</f>
        <v>1.63</v>
      </c>
      <c r="I41" s="58">
        <f>1.53</f>
        <v>1.53</v>
      </c>
      <c r="J41" s="58">
        <f>0.76</f>
        <v>0.76</v>
      </c>
      <c r="K41" s="58">
        <f>0.15</f>
        <v>0.15</v>
      </c>
      <c r="L41" s="58">
        <f>0.03</f>
        <v>0.03</v>
      </c>
      <c r="M41" s="58">
        <f>0.53</f>
        <v>0.53</v>
      </c>
      <c r="N41" s="58">
        <f>1.33</f>
        <v>1.33</v>
      </c>
      <c r="O41" s="58">
        <f>0.3</f>
        <v>0.3</v>
      </c>
      <c r="P41" s="58">
        <f>0.3</f>
        <v>0.3</v>
      </c>
      <c r="Q41" s="28"/>
    </row>
    <row r="42" spans="2:17" ht="15">
      <c r="B42" s="27"/>
      <c r="C42" s="46" t="s">
        <v>9</v>
      </c>
      <c r="D42" s="46"/>
      <c r="E42" s="66"/>
      <c r="F42" s="57">
        <f aca="true" t="shared" si="10" ref="F42:P42">F36+F38-F39-F40-F41</f>
        <v>22.75</v>
      </c>
      <c r="G42" s="57">
        <f t="shared" si="10"/>
        <v>45.07277459999998</v>
      </c>
      <c r="H42" s="57">
        <f t="shared" si="10"/>
        <v>91.0974786</v>
      </c>
      <c r="I42" s="57">
        <f t="shared" si="10"/>
        <v>98.75266503999998</v>
      </c>
      <c r="J42" s="57">
        <f t="shared" si="10"/>
        <v>97.85992678639998</v>
      </c>
      <c r="K42" s="57">
        <f t="shared" si="10"/>
        <v>94.82010685026403</v>
      </c>
      <c r="L42" s="57">
        <f t="shared" si="10"/>
        <v>91.87781940276666</v>
      </c>
      <c r="M42" s="57">
        <f t="shared" si="10"/>
        <v>89.27286037479433</v>
      </c>
      <c r="N42" s="57">
        <f t="shared" si="10"/>
        <v>84.49748625654223</v>
      </c>
      <c r="O42" s="57">
        <f t="shared" si="10"/>
        <v>82.16114289710767</v>
      </c>
      <c r="P42" s="57">
        <f t="shared" si="10"/>
        <v>81.39172610407873</v>
      </c>
      <c r="Q42" s="28"/>
    </row>
    <row r="43" spans="2:17" ht="15.75" thickBot="1">
      <c r="B43" s="27"/>
      <c r="C43" s="46" t="s">
        <v>7</v>
      </c>
      <c r="D43" s="46"/>
      <c r="E43" s="66"/>
      <c r="F43" s="82"/>
      <c r="G43" s="83"/>
      <c r="H43" s="83"/>
      <c r="I43" s="83"/>
      <c r="J43" s="83"/>
      <c r="K43" s="83"/>
      <c r="L43" s="83"/>
      <c r="M43" s="83"/>
      <c r="N43" s="83"/>
      <c r="O43" s="83"/>
      <c r="P43" s="82">
        <f>F11*P42</f>
        <v>813.9172610407873</v>
      </c>
      <c r="Q43" s="28"/>
    </row>
    <row r="44" spans="2:17" s="14" customFormat="1" ht="15.75">
      <c r="B44" s="29"/>
      <c r="C44" s="87" t="s">
        <v>8</v>
      </c>
      <c r="D44" s="20"/>
      <c r="E44" s="20"/>
      <c r="F44" s="84">
        <f>SUM(F42:F43)</f>
        <v>22.75</v>
      </c>
      <c r="G44" s="84">
        <f aca="true" t="shared" si="11" ref="G44:P44">SUM(G42:G43)</f>
        <v>45.07277459999998</v>
      </c>
      <c r="H44" s="84">
        <f t="shared" si="11"/>
        <v>91.0974786</v>
      </c>
      <c r="I44" s="84">
        <f t="shared" si="11"/>
        <v>98.75266503999998</v>
      </c>
      <c r="J44" s="84">
        <f t="shared" si="11"/>
        <v>97.85992678639998</v>
      </c>
      <c r="K44" s="84">
        <f t="shared" si="11"/>
        <v>94.82010685026403</v>
      </c>
      <c r="L44" s="84">
        <f t="shared" si="11"/>
        <v>91.87781940276666</v>
      </c>
      <c r="M44" s="84">
        <f t="shared" si="11"/>
        <v>89.27286037479433</v>
      </c>
      <c r="N44" s="84">
        <f t="shared" si="11"/>
        <v>84.49748625654223</v>
      </c>
      <c r="O44" s="84">
        <f t="shared" si="11"/>
        <v>82.16114289710767</v>
      </c>
      <c r="P44" s="84">
        <f t="shared" si="11"/>
        <v>895.308987144866</v>
      </c>
      <c r="Q44" s="30"/>
    </row>
    <row r="45" spans="2:18" s="8" customFormat="1" ht="14.25" customHeight="1">
      <c r="B45" s="33"/>
      <c r="C45" s="34"/>
      <c r="D45" s="17"/>
      <c r="E45" s="17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8"/>
      <c r="R45" s="13"/>
    </row>
    <row r="46" spans="2:17" ht="15.75" thickBot="1">
      <c r="B46" s="48"/>
      <c r="C46" s="38" t="s">
        <v>10</v>
      </c>
      <c r="D46" s="37" t="s">
        <v>11</v>
      </c>
      <c r="E46" s="35"/>
      <c r="F46" s="36"/>
      <c r="G46" s="36"/>
      <c r="H46" s="36"/>
      <c r="I46" s="36"/>
      <c r="J46" s="36"/>
      <c r="K46" s="36"/>
      <c r="L46" s="49"/>
      <c r="M46" s="36"/>
      <c r="N46" s="36"/>
      <c r="O46" s="36"/>
      <c r="P46" s="36"/>
      <c r="Q46" s="50"/>
    </row>
    <row r="47" spans="3:16" ht="15">
      <c r="C47" s="4"/>
      <c r="D47" s="9"/>
      <c r="E47" s="10"/>
      <c r="F47" s="12"/>
      <c r="G47" s="12"/>
      <c r="H47" s="12"/>
      <c r="I47" s="12"/>
      <c r="J47" s="12"/>
      <c r="K47" s="12"/>
      <c r="L47" s="11"/>
      <c r="M47" s="12"/>
      <c r="N47" s="12"/>
      <c r="O47" s="12"/>
      <c r="P47" s="12"/>
    </row>
    <row r="48" ht="15">
      <c r="D48" s="13"/>
    </row>
    <row r="49" spans="3:4" ht="15">
      <c r="C49" s="13"/>
      <c r="D49" s="13"/>
    </row>
    <row r="50" spans="3:4" ht="15">
      <c r="C50" s="13"/>
      <c r="D50" s="13"/>
    </row>
    <row r="51" spans="3:4" ht="15">
      <c r="C51" s="13"/>
      <c r="D51" s="85"/>
    </row>
    <row r="52" ht="15">
      <c r="D52" s="85"/>
    </row>
    <row r="53" spans="3:4" ht="15">
      <c r="C53" s="13"/>
      <c r="D53" s="13"/>
    </row>
    <row r="54" spans="3:10" ht="15">
      <c r="C54" s="13"/>
      <c r="D54" s="13"/>
      <c r="J54" s="3"/>
    </row>
    <row r="55" spans="3:4" ht="15">
      <c r="C55" s="13"/>
      <c r="D55" s="13"/>
    </row>
    <row r="56" ht="15">
      <c r="D56" s="13"/>
    </row>
    <row r="57" spans="3:4" ht="15">
      <c r="C57" s="13"/>
      <c r="D57" s="13"/>
    </row>
    <row r="58" spans="3:10" ht="15">
      <c r="C58" s="13"/>
      <c r="D58" s="13"/>
      <c r="J58" s="3"/>
    </row>
    <row r="59" spans="3:4" ht="15">
      <c r="C59" s="13"/>
      <c r="D59" s="13"/>
    </row>
    <row r="60" ht="15">
      <c r="D60" s="13"/>
    </row>
    <row r="61" spans="3:4" ht="15">
      <c r="C61" s="13"/>
      <c r="D61" s="13"/>
    </row>
    <row r="62" spans="3:10" ht="15">
      <c r="C62" s="13"/>
      <c r="D62" s="13"/>
      <c r="J62" s="3"/>
    </row>
    <row r="63" spans="3:4" ht="15">
      <c r="C63" s="13"/>
      <c r="D63" s="13"/>
    </row>
    <row r="64" spans="3:4" ht="15">
      <c r="C64" s="13"/>
      <c r="D64" s="13"/>
    </row>
    <row r="65" spans="3:4" ht="15">
      <c r="C65" s="13"/>
      <c r="D65" s="13"/>
    </row>
    <row r="66" spans="3:8" ht="15">
      <c r="C66" s="13"/>
      <c r="D66" s="13"/>
      <c r="F66" s="15"/>
      <c r="G66" s="11"/>
      <c r="H66" s="11"/>
    </row>
    <row r="67" spans="3:8" ht="15">
      <c r="C67" s="13"/>
      <c r="D67" s="13"/>
      <c r="H67" s="11"/>
    </row>
    <row r="68" spans="3:8" ht="15">
      <c r="C68" s="13"/>
      <c r="D68" s="13"/>
      <c r="H68" s="51"/>
    </row>
    <row r="69" spans="3:8" ht="15">
      <c r="C69" s="13"/>
      <c r="D69" s="13"/>
      <c r="G69" s="51"/>
      <c r="H69" s="12"/>
    </row>
    <row r="71" ht="15">
      <c r="C71" s="11"/>
    </row>
  </sheetData>
  <sheetProtection/>
  <printOptions horizontalCentered="1"/>
  <pageMargins left="0.48" right="0.59" top="0.46" bottom="0.5" header="0.5" footer="0.5"/>
  <pageSetup fitToHeight="1" fitToWidth="1" horizontalDpi="300" verticalDpi="300" orientation="landscape" scale="78"/>
  <rowBreaks count="1" manualBreakCount="1">
    <brk id="4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ICS-PUC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Felipe Correa</dc:creator>
  <cp:keywords/>
  <dc:description/>
  <cp:lastModifiedBy>Patricio del Sol</cp:lastModifiedBy>
  <cp:lastPrinted>2005-09-29T14:26:53Z</cp:lastPrinted>
  <dcterms:created xsi:type="dcterms:W3CDTF">1998-02-09T18:08:58Z</dcterms:created>
  <dcterms:modified xsi:type="dcterms:W3CDTF">2013-07-04T16:39:08Z</dcterms:modified>
  <cp:category/>
  <cp:version/>
  <cp:contentType/>
  <cp:contentStatus/>
</cp:coreProperties>
</file>